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7" documentId="8_{68A1A437-DD49-47A5-AF85-6152113FFC30}" xr6:coauthVersionLast="47" xr6:coauthVersionMax="47" xr10:uidLastSave="{5DA8C3CF-3E2E-49EB-961C-8BCB1C97C1AB}"/>
  <bookViews>
    <workbookView xWindow="-120" yWindow="-120" windowWidth="20730" windowHeight="11040" firstSheet="1" activeTab="1" xr2:uid="{DC73A1D9-BCC4-4DB9-B401-384A711B2620}"/>
  </bookViews>
  <sheets>
    <sheet name="Land Analysis" sheetId="2" r:id="rId1"/>
    <sheet name="1 acr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5" l="1"/>
  <c r="O17" i="5"/>
  <c r="M17" i="5"/>
  <c r="L17" i="5"/>
  <c r="J17" i="5"/>
  <c r="H17" i="5"/>
  <c r="G17" i="5"/>
  <c r="D17" i="5"/>
  <c r="K15" i="5"/>
  <c r="Q15" i="5" s="1"/>
  <c r="I15" i="5"/>
  <c r="K14" i="5"/>
  <c r="Q14" i="5" s="1"/>
  <c r="I14" i="5"/>
  <c r="K13" i="5"/>
  <c r="S13" i="5" s="1"/>
  <c r="I13" i="5"/>
  <c r="I19" i="5" s="1"/>
  <c r="I18" i="5" l="1"/>
  <c r="S14" i="5"/>
  <c r="R14" i="5"/>
  <c r="R13" i="5"/>
  <c r="S15" i="5"/>
  <c r="R15" i="5"/>
  <c r="Q13" i="5"/>
  <c r="K17" i="5"/>
  <c r="S19" i="5" l="1"/>
  <c r="P19" i="5"/>
  <c r="M19" i="5"/>
  <c r="P4" i="5" l="1"/>
  <c r="O4" i="5"/>
  <c r="M4" i="5"/>
  <c r="L4" i="5"/>
  <c r="J4" i="5"/>
  <c r="H4" i="5"/>
  <c r="G4" i="5"/>
  <c r="D4" i="5"/>
  <c r="K3" i="5"/>
  <c r="Q3" i="5" s="1"/>
  <c r="I3" i="5"/>
  <c r="K2" i="5"/>
  <c r="Q2" i="5" s="1"/>
  <c r="I2" i="5"/>
  <c r="K24" i="5"/>
  <c r="R24" i="5" s="1"/>
  <c r="I24" i="5"/>
  <c r="I2" i="2"/>
  <c r="K2" i="2"/>
  <c r="Q2" i="2" s="1"/>
  <c r="I3" i="2"/>
  <c r="K3" i="2"/>
  <c r="R3" i="2" s="1"/>
  <c r="I4" i="2"/>
  <c r="K4" i="2"/>
  <c r="R4" i="2" s="1"/>
  <c r="I5" i="2"/>
  <c r="K5" i="2"/>
  <c r="R5" i="2" s="1"/>
  <c r="I6" i="2"/>
  <c r="K6" i="2"/>
  <c r="S6" i="2" s="1"/>
  <c r="I7" i="2"/>
  <c r="K7" i="2"/>
  <c r="S7" i="2" s="1"/>
  <c r="I8" i="2"/>
  <c r="K8" i="2"/>
  <c r="Q8" i="2" s="1"/>
  <c r="I9" i="2"/>
  <c r="K9" i="2"/>
  <c r="Q9" i="2" s="1"/>
  <c r="I10" i="2"/>
  <c r="K10" i="2"/>
  <c r="Q10" i="2" s="1"/>
  <c r="I11" i="2"/>
  <c r="K11" i="2"/>
  <c r="R11" i="2" s="1"/>
  <c r="I12" i="2"/>
  <c r="K12" i="2"/>
  <c r="Q12" i="2" s="1"/>
  <c r="I13" i="2"/>
  <c r="K13" i="2"/>
  <c r="S13" i="2" s="1"/>
  <c r="I14" i="2"/>
  <c r="K14" i="2"/>
  <c r="S14" i="2" s="1"/>
  <c r="I15" i="2"/>
  <c r="K15" i="2"/>
  <c r="Q15" i="2" s="1"/>
  <c r="I16" i="2"/>
  <c r="K16" i="2"/>
  <c r="Q16" i="2" s="1"/>
  <c r="I17" i="2"/>
  <c r="K17" i="2"/>
  <c r="Q17" i="2" s="1"/>
  <c r="I18" i="2"/>
  <c r="K18" i="2"/>
  <c r="R18" i="2" s="1"/>
  <c r="I19" i="2"/>
  <c r="K19" i="2"/>
  <c r="R19" i="2" s="1"/>
  <c r="I20" i="2"/>
  <c r="K20" i="2"/>
  <c r="R20" i="2" s="1"/>
  <c r="I21" i="2"/>
  <c r="K21" i="2"/>
  <c r="S21" i="2" s="1"/>
  <c r="I22" i="2"/>
  <c r="K22" i="2"/>
  <c r="S22" i="2" s="1"/>
  <c r="I23" i="2"/>
  <c r="K23" i="2"/>
  <c r="Q23" i="2" s="1"/>
  <c r="R23" i="2"/>
  <c r="S23" i="2"/>
  <c r="I24" i="2"/>
  <c r="K24" i="2"/>
  <c r="Q24" i="2" s="1"/>
  <c r="I25" i="2"/>
  <c r="K25" i="2"/>
  <c r="Q25" i="2" s="1"/>
  <c r="I26" i="2"/>
  <c r="K26" i="2"/>
  <c r="R26" i="2" s="1"/>
  <c r="I27" i="2"/>
  <c r="K27" i="2"/>
  <c r="R27" i="2" s="1"/>
  <c r="I28" i="2"/>
  <c r="K28" i="2"/>
  <c r="Q28" i="2" s="1"/>
  <c r="I29" i="2"/>
  <c r="K29" i="2"/>
  <c r="S29" i="2" s="1"/>
  <c r="I30" i="2"/>
  <c r="K30" i="2"/>
  <c r="S30" i="2" s="1"/>
  <c r="I31" i="2"/>
  <c r="K31" i="2"/>
  <c r="Q31" i="2" s="1"/>
  <c r="I32" i="2"/>
  <c r="K32" i="2"/>
  <c r="Q32" i="2" s="1"/>
  <c r="D33" i="2"/>
  <c r="G33" i="2"/>
  <c r="H33" i="2"/>
  <c r="J33" i="2"/>
  <c r="L33" i="2"/>
  <c r="M33" i="2"/>
  <c r="O33" i="2"/>
  <c r="P33" i="2"/>
  <c r="I5" i="5" l="1"/>
  <c r="R2" i="5"/>
  <c r="S2" i="5"/>
  <c r="S3" i="5"/>
  <c r="I6" i="5"/>
  <c r="S24" i="5"/>
  <c r="R3" i="5"/>
  <c r="K4" i="5"/>
  <c r="S6" i="5" s="1"/>
  <c r="Q24" i="5"/>
  <c r="R31" i="2"/>
  <c r="R10" i="2"/>
  <c r="R29" i="2"/>
  <c r="Q11" i="2"/>
  <c r="R28" i="2"/>
  <c r="R13" i="2"/>
  <c r="S12" i="2"/>
  <c r="R12" i="2"/>
  <c r="S2" i="2"/>
  <c r="R2" i="2"/>
  <c r="S17" i="2"/>
  <c r="Q27" i="2"/>
  <c r="R17" i="2"/>
  <c r="S8" i="2"/>
  <c r="S25" i="2"/>
  <c r="R14" i="2"/>
  <c r="R6" i="2"/>
  <c r="R30" i="2"/>
  <c r="R25" i="2"/>
  <c r="Q19" i="2"/>
  <c r="R21" i="2"/>
  <c r="S31" i="2"/>
  <c r="Q26" i="2"/>
  <c r="S15" i="2"/>
  <c r="S10" i="2"/>
  <c r="Q4" i="2"/>
  <c r="I34" i="2"/>
  <c r="S28" i="2"/>
  <c r="S26" i="2"/>
  <c r="Q22" i="2"/>
  <c r="Q20" i="2"/>
  <c r="Q7" i="2"/>
  <c r="Q5" i="2"/>
  <c r="Q3" i="2"/>
  <c r="Q30" i="2"/>
  <c r="R15" i="2"/>
  <c r="R8" i="2"/>
  <c r="I35" i="2"/>
  <c r="K33" i="2"/>
  <c r="M35" i="2" s="1"/>
  <c r="S20" i="2"/>
  <c r="S18" i="2"/>
  <c r="Q14" i="2"/>
  <c r="S5" i="2"/>
  <c r="S3" i="2"/>
  <c r="R22" i="2"/>
  <c r="Q18" i="2"/>
  <c r="R7" i="2"/>
  <c r="S32" i="2"/>
  <c r="S16" i="2"/>
  <c r="R32" i="2"/>
  <c r="Q29" i="2"/>
  <c r="S27" i="2"/>
  <c r="R24" i="2"/>
  <c r="Q21" i="2"/>
  <c r="S19" i="2"/>
  <c r="R16" i="2"/>
  <c r="Q13" i="2"/>
  <c r="S11" i="2"/>
  <c r="R9" i="2"/>
  <c r="Q6" i="2"/>
  <c r="S4" i="2"/>
  <c r="S24" i="2"/>
  <c r="S9" i="2"/>
  <c r="M6" i="5" l="1"/>
  <c r="P6" i="5"/>
  <c r="P35" i="2"/>
  <c r="S35" i="2"/>
</calcChain>
</file>

<file path=xl/sharedStrings.xml><?xml version="1.0" encoding="utf-8"?>
<sst xmlns="http://schemas.openxmlformats.org/spreadsheetml/2006/main" count="312" uniqueCount="102">
  <si>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</si>
  <si>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</si>
  <si>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</si>
  <si>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</si>
  <si>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</si>
  <si>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</si>
  <si>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</si>
  <si>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</si>
  <si>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</si>
  <si>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</si>
  <si>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</si>
  <si>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</si>
  <si>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</si>
  <si>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</si>
  <si>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</si>
  <si>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</si>
  <si>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</si>
  <si>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</si>
  <si>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</si>
  <si>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</si>
  <si>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</si>
  <si>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</si>
  <si>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</si>
  <si>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080-003-203-001-03</t>
  </si>
  <si>
    <t>3400 N HOCKADAY ROAD</t>
  </si>
  <si>
    <t>WD</t>
  </si>
  <si>
    <t>03-ARM'S LENGTH</t>
  </si>
  <si>
    <t>RESIDENTIAL</t>
  </si>
  <si>
    <t>RES FF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</si>
  <si>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</si>
  <si>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</si>
  <si>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</si>
  <si>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</si>
  <si>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</si>
  <si>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</si>
  <si>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080-009-400-001-13</t>
  </si>
  <si>
    <t>1578 W EATON ROAD</t>
  </si>
  <si>
    <t>080-012-300-002-02</t>
  </si>
  <si>
    <t>2560 KERN ROAD</t>
  </si>
  <si>
    <t>080-020-401-002-00</t>
  </si>
  <si>
    <t>2240 W RIDGE ROAD</t>
  </si>
  <si>
    <t>080-020-404-002-00</t>
  </si>
  <si>
    <t>2056 W RIDGE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</si>
  <si>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</si>
  <si>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</si>
  <si>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</si>
  <si>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</si>
  <si>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</si>
  <si>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</si>
  <si>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080-026-201-001-00</t>
  </si>
  <si>
    <t>839 W RIDGE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</si>
  <si>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</si>
  <si>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</si>
  <si>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</si>
  <si>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</si>
  <si>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</si>
  <si>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</si>
  <si>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</si>
  <si>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</si>
  <si>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080-028-101-001-00</t>
  </si>
  <si>
    <t>1551 RIDGE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</si>
  <si>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</si>
  <si>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</si>
  <si>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</si>
  <si>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</si>
  <si>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</si>
  <si>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</si>
  <si>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080-029-403-004-00</t>
  </si>
  <si>
    <t>YOUNGS ROAD</t>
  </si>
  <si>
    <t>080-032-303-001-01</t>
  </si>
  <si>
    <t>2450 WEBER ROAD</t>
  </si>
  <si>
    <t>080-033-100-004-00</t>
  </si>
  <si>
    <t>913 N HOCKADAY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</si>
  <si>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</si>
  <si>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</si>
  <si>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</si>
  <si>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</si>
  <si>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</si>
  <si>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</si>
  <si>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080-036-200-001-02</t>
  </si>
  <si>
    <t>295 W YOUNGS ROAD</t>
  </si>
  <si>
    <t>080-150-000-007-00</t>
  </si>
  <si>
    <t>2944 W YOUNGS ROAD</t>
  </si>
  <si>
    <t>080-150-000-009-01</t>
  </si>
  <si>
    <t>1078 N M-18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</si>
  <si>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</si>
  <si>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</si>
  <si>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</si>
  <si>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</si>
  <si>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</si>
  <si>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</si>
  <si>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</si>
  <si>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Outlier</t>
  </si>
  <si>
    <t>Asd. when Sold</t>
  </si>
  <si>
    <t>Used $25,000/acre</t>
  </si>
  <si>
    <t>070-001-201-001-00</t>
  </si>
  <si>
    <t>1665 E M-30</t>
  </si>
  <si>
    <t>SECTION LOTS &amp; ACREAGE</t>
  </si>
  <si>
    <t>070-016-200-001-01</t>
  </si>
  <si>
    <t>230 W INDIAN LAKE</t>
  </si>
  <si>
    <t>Clement Township Sales</t>
  </si>
  <si>
    <t>Included Clement Township sales due to a lack of sales in Gladwin Township.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</si>
</sst>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3" fillId="0" borderId="0" xfId="0" applyNumberFormat="1" applyFont="1"/>
    <xf numFmtId="0" fontId="0" fillId="4" borderId="0" xfId="0" applyFill="1"/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B120-481A-4600-9909-C03B9FF64318}">
  <dimension ref="A1:AP35"/>
  <sheetViews>
    <sheetView topLeftCell="N22" workbookViewId="0">
      <selection activeCell="W14" sqref="W14"/>
    </sheetView>
  </sheetViews>
  <sheetFormatPr defaultRowHeight="15" x14ac:dyDescent="0.25"/>
  <cols>
    <col min="1" max="1" width="18.85546875" customWidth="1"/>
    <col min="2" max="2" width="26" customWidth="1"/>
    <col min="3" max="3" width="16.7109375" style="17" customWidth="1"/>
    <col min="4" max="4" width="17.7109375" style="7" customWidth="1"/>
    <col min="5" max="5" width="8.7109375" customWidth="1"/>
    <col min="6" max="6" width="20.5703125" customWidth="1"/>
    <col min="7" max="8" width="17.7109375" style="7" customWidth="1"/>
    <col min="9" max="9" width="18.7109375" style="12" customWidth="1"/>
    <col min="10" max="10" width="17.7109375" style="7" customWidth="1"/>
    <col min="11" max="11" width="18.7109375" style="7" customWidth="1"/>
    <col min="12" max="12" width="20.7109375" style="7" customWidth="1"/>
    <col min="13" max="13" width="17.710937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7.7109375" style="31" customWidth="1"/>
    <col min="21" max="21" width="25.42578125" customWidth="1"/>
    <col min="22" max="22" width="15.7109375" customWidth="1"/>
    <col min="23" max="23" width="20.710937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23</v>
      </c>
      <c r="B2" t="s">
        <v>24</v>
      </c>
      <c r="C2" s="17">
        <v>45013</v>
      </c>
      <c r="D2" s="7">
        <v>392000</v>
      </c>
      <c r="E2" t="s">
        <v>25</v>
      </c>
      <c r="F2" t="s">
        <v>26</v>
      </c>
      <c r="G2" s="7">
        <v>392000</v>
      </c>
      <c r="H2" s="7">
        <v>140000</v>
      </c>
      <c r="I2" s="12">
        <f t="shared" ref="I2:I32" si="0">H2/G2*100</f>
        <v>35.714285714285715</v>
      </c>
      <c r="J2" s="7">
        <v>279980</v>
      </c>
      <c r="K2" s="7">
        <f>G2-249980</f>
        <v>142020</v>
      </c>
      <c r="L2" s="7">
        <v>30000</v>
      </c>
      <c r="M2" s="22">
        <v>609.1</v>
      </c>
      <c r="N2" s="26">
        <v>362</v>
      </c>
      <c r="O2" s="31">
        <v>5</v>
      </c>
      <c r="P2" s="31">
        <v>5</v>
      </c>
      <c r="Q2" s="7">
        <f t="shared" ref="Q2:Q32" si="1">K2/M2</f>
        <v>233.16368412411754</v>
      </c>
      <c r="R2" s="7">
        <f t="shared" ref="R2:R32" si="2">K2/O2</f>
        <v>28404</v>
      </c>
      <c r="S2" s="36">
        <f t="shared" ref="S2:S32" si="3">K2/O2/43560</f>
        <v>0.6520661157024793</v>
      </c>
      <c r="T2" s="31">
        <v>609.1</v>
      </c>
      <c r="V2" t="s">
        <v>27</v>
      </c>
      <c r="W2" t="s">
        <v>28</v>
      </c>
      <c r="AG2" s="2"/>
      <c r="AI2" s="2"/>
    </row>
    <row r="3" spans="1:42" x14ac:dyDescent="0.25">
      <c r="A3" t="s">
        <v>29</v>
      </c>
      <c r="B3" t="s">
        <v>30</v>
      </c>
      <c r="C3" s="17">
        <v>45002</v>
      </c>
      <c r="D3" s="7">
        <v>141000</v>
      </c>
      <c r="E3" t="s">
        <v>25</v>
      </c>
      <c r="F3" t="s">
        <v>26</v>
      </c>
      <c r="G3" s="7">
        <v>141000</v>
      </c>
      <c r="H3" s="7">
        <v>74400</v>
      </c>
      <c r="I3" s="12">
        <f t="shared" si="0"/>
        <v>52.765957446808507</v>
      </c>
      <c r="J3" s="7">
        <v>148756</v>
      </c>
      <c r="K3" s="7">
        <f>G3-126756</f>
        <v>14244</v>
      </c>
      <c r="L3" s="7">
        <v>22000</v>
      </c>
      <c r="M3" s="22">
        <v>210</v>
      </c>
      <c r="N3" s="26">
        <v>415</v>
      </c>
      <c r="O3" s="31">
        <v>2</v>
      </c>
      <c r="P3" s="31">
        <v>2</v>
      </c>
      <c r="Q3" s="7">
        <f t="shared" si="1"/>
        <v>67.828571428571422</v>
      </c>
      <c r="R3" s="7">
        <f t="shared" si="2"/>
        <v>7122</v>
      </c>
      <c r="S3" s="36">
        <f t="shared" si="3"/>
        <v>0.16349862258953168</v>
      </c>
      <c r="T3" s="31">
        <v>210</v>
      </c>
      <c r="V3" t="s">
        <v>27</v>
      </c>
      <c r="W3" t="s">
        <v>28</v>
      </c>
    </row>
    <row r="4" spans="1:42" x14ac:dyDescent="0.25">
      <c r="A4" t="s">
        <v>31</v>
      </c>
      <c r="B4" t="s">
        <v>32</v>
      </c>
      <c r="C4" s="17">
        <v>45150</v>
      </c>
      <c r="D4" s="7">
        <v>77000</v>
      </c>
      <c r="E4" t="s">
        <v>25</v>
      </c>
      <c r="F4" t="s">
        <v>26</v>
      </c>
      <c r="G4" s="7">
        <v>77000</v>
      </c>
      <c r="H4" s="7">
        <v>42700</v>
      </c>
      <c r="I4" s="12">
        <f t="shared" si="0"/>
        <v>55.454545454545453</v>
      </c>
      <c r="J4" s="7">
        <v>85308</v>
      </c>
      <c r="K4" s="7">
        <f>G4-54458</f>
        <v>22542</v>
      </c>
      <c r="L4" s="7">
        <v>30850</v>
      </c>
      <c r="M4" s="22">
        <v>783.48</v>
      </c>
      <c r="N4" s="26">
        <v>313.32000699999998</v>
      </c>
      <c r="O4" s="31">
        <v>5.34</v>
      </c>
      <c r="P4" s="31">
        <v>5.34</v>
      </c>
      <c r="Q4" s="7">
        <f t="shared" si="1"/>
        <v>28.771634247204776</v>
      </c>
      <c r="R4" s="7">
        <f t="shared" si="2"/>
        <v>4221.348314606742</v>
      </c>
      <c r="S4" s="36">
        <f t="shared" si="3"/>
        <v>9.6908822649374241E-2</v>
      </c>
      <c r="T4" s="31">
        <v>783.48</v>
      </c>
      <c r="V4" t="s">
        <v>27</v>
      </c>
      <c r="W4" t="s">
        <v>28</v>
      </c>
    </row>
    <row r="5" spans="1:42" x14ac:dyDescent="0.25">
      <c r="A5" t="s">
        <v>33</v>
      </c>
      <c r="B5" t="s">
        <v>34</v>
      </c>
      <c r="C5" s="17">
        <v>44743</v>
      </c>
      <c r="D5" s="7">
        <v>199000</v>
      </c>
      <c r="E5" t="s">
        <v>25</v>
      </c>
      <c r="F5" t="s">
        <v>26</v>
      </c>
      <c r="G5" s="7">
        <v>199000</v>
      </c>
      <c r="H5" s="7">
        <v>88500</v>
      </c>
      <c r="I5" s="12">
        <f t="shared" si="0"/>
        <v>44.472361809045225</v>
      </c>
      <c r="J5" s="7">
        <v>177095</v>
      </c>
      <c r="K5" s="7">
        <f>G5-163095</f>
        <v>35905</v>
      </c>
      <c r="L5" s="7">
        <v>14000</v>
      </c>
      <c r="M5" s="22">
        <v>175.81</v>
      </c>
      <c r="N5" s="26">
        <v>242.199997</v>
      </c>
      <c r="O5" s="31">
        <v>1</v>
      </c>
      <c r="P5" s="31">
        <v>1</v>
      </c>
      <c r="Q5" s="7">
        <f t="shared" si="1"/>
        <v>204.22615323360446</v>
      </c>
      <c r="R5" s="7">
        <f t="shared" si="2"/>
        <v>35905</v>
      </c>
      <c r="S5" s="36">
        <f t="shared" si="3"/>
        <v>0.82426538108356295</v>
      </c>
      <c r="T5" s="31">
        <v>175.81</v>
      </c>
      <c r="V5" t="s">
        <v>27</v>
      </c>
      <c r="W5" t="s">
        <v>28</v>
      </c>
    </row>
    <row r="6" spans="1:42" x14ac:dyDescent="0.25">
      <c r="A6" t="s">
        <v>35</v>
      </c>
      <c r="B6" t="s">
        <v>36</v>
      </c>
      <c r="C6" s="17">
        <v>44690</v>
      </c>
      <c r="D6" s="7">
        <v>250000</v>
      </c>
      <c r="E6" t="s">
        <v>25</v>
      </c>
      <c r="F6" t="s">
        <v>26</v>
      </c>
      <c r="G6" s="7">
        <v>250000</v>
      </c>
      <c r="H6" s="7">
        <v>119300</v>
      </c>
      <c r="I6" s="12">
        <f t="shared" si="0"/>
        <v>47.72</v>
      </c>
      <c r="J6" s="7">
        <v>238500</v>
      </c>
      <c r="K6" s="7">
        <f>G6-207200</f>
        <v>42800</v>
      </c>
      <c r="L6" s="7">
        <v>31300</v>
      </c>
      <c r="M6" s="22">
        <v>831.66</v>
      </c>
      <c r="N6" s="26">
        <v>291.17001299999998</v>
      </c>
      <c r="O6" s="31">
        <v>5.52</v>
      </c>
      <c r="P6" s="31">
        <v>5.52</v>
      </c>
      <c r="Q6" s="7">
        <f t="shared" si="1"/>
        <v>51.463338383474017</v>
      </c>
      <c r="R6" s="7">
        <f t="shared" si="2"/>
        <v>7753.6231884057979</v>
      </c>
      <c r="S6" s="36">
        <f t="shared" si="3"/>
        <v>0.17799869578525707</v>
      </c>
      <c r="T6" s="31">
        <v>831.66</v>
      </c>
      <c r="V6" t="s">
        <v>27</v>
      </c>
      <c r="W6" t="s">
        <v>28</v>
      </c>
    </row>
    <row r="7" spans="1:42" x14ac:dyDescent="0.25">
      <c r="A7" t="s">
        <v>37</v>
      </c>
      <c r="B7" t="s">
        <v>38</v>
      </c>
      <c r="C7" s="17">
        <v>44824</v>
      </c>
      <c r="D7" s="7">
        <v>150000</v>
      </c>
      <c r="E7" t="s">
        <v>25</v>
      </c>
      <c r="F7" t="s">
        <v>26</v>
      </c>
      <c r="G7" s="7">
        <v>150000</v>
      </c>
      <c r="H7" s="7">
        <v>54900</v>
      </c>
      <c r="I7" s="12">
        <f t="shared" si="0"/>
        <v>36.6</v>
      </c>
      <c r="J7" s="7">
        <v>109717</v>
      </c>
      <c r="K7" s="7">
        <f>G7-33717</f>
        <v>116283</v>
      </c>
      <c r="L7" s="7">
        <v>76000</v>
      </c>
      <c r="M7" s="22">
        <v>660</v>
      </c>
      <c r="N7" s="26">
        <v>1320</v>
      </c>
      <c r="O7" s="31">
        <v>20</v>
      </c>
      <c r="P7" s="31">
        <v>20</v>
      </c>
      <c r="Q7" s="7">
        <f t="shared" si="1"/>
        <v>176.18636363636364</v>
      </c>
      <c r="R7" s="7">
        <f t="shared" si="2"/>
        <v>5814.15</v>
      </c>
      <c r="S7" s="36">
        <f t="shared" si="3"/>
        <v>0.13347451790633608</v>
      </c>
      <c r="T7" s="31">
        <v>660</v>
      </c>
      <c r="V7" t="s">
        <v>27</v>
      </c>
      <c r="W7" t="s">
        <v>28</v>
      </c>
    </row>
    <row r="8" spans="1:42" x14ac:dyDescent="0.25">
      <c r="A8" t="s">
        <v>37</v>
      </c>
      <c r="B8" t="s">
        <v>38</v>
      </c>
      <c r="C8" s="17">
        <v>45442</v>
      </c>
      <c r="D8" s="7">
        <v>155000</v>
      </c>
      <c r="E8" t="s">
        <v>25</v>
      </c>
      <c r="F8" t="s">
        <v>26</v>
      </c>
      <c r="G8" s="7">
        <v>155000</v>
      </c>
      <c r="H8" s="7">
        <v>54900</v>
      </c>
      <c r="I8" s="12">
        <f t="shared" si="0"/>
        <v>35.41935483870968</v>
      </c>
      <c r="J8" s="7">
        <v>109717</v>
      </c>
      <c r="K8" s="7">
        <f>G8-33717</f>
        <v>121283</v>
      </c>
      <c r="L8" s="7">
        <v>76000</v>
      </c>
      <c r="M8" s="22">
        <v>660</v>
      </c>
      <c r="N8" s="26">
        <v>1320</v>
      </c>
      <c r="O8" s="31">
        <v>20</v>
      </c>
      <c r="P8" s="31">
        <v>20</v>
      </c>
      <c r="Q8" s="7">
        <f t="shared" si="1"/>
        <v>183.7621212121212</v>
      </c>
      <c r="R8" s="7">
        <f t="shared" si="2"/>
        <v>6064.15</v>
      </c>
      <c r="S8" s="36">
        <f t="shared" si="3"/>
        <v>0.13921372819100092</v>
      </c>
      <c r="T8" s="31">
        <v>660</v>
      </c>
      <c r="V8" t="s">
        <v>27</v>
      </c>
      <c r="W8" t="s">
        <v>28</v>
      </c>
    </row>
    <row r="9" spans="1:42" x14ac:dyDescent="0.25">
      <c r="A9" t="s">
        <v>39</v>
      </c>
      <c r="B9" t="s">
        <v>40</v>
      </c>
      <c r="C9" s="17">
        <v>44995</v>
      </c>
      <c r="D9" s="7">
        <v>290000</v>
      </c>
      <c r="E9" t="s">
        <v>25</v>
      </c>
      <c r="F9" t="s">
        <v>26</v>
      </c>
      <c r="G9" s="7">
        <v>290000</v>
      </c>
      <c r="H9" s="7">
        <v>167100</v>
      </c>
      <c r="I9" s="12">
        <f t="shared" si="0"/>
        <v>57.62068965517242</v>
      </c>
      <c r="J9" s="7">
        <v>334297</v>
      </c>
      <c r="K9" s="7">
        <f>G9-150225</f>
        <v>139775</v>
      </c>
      <c r="L9" s="7">
        <v>184072</v>
      </c>
      <c r="M9" s="22">
        <v>1478</v>
      </c>
      <c r="N9" s="26">
        <v>1395.755371</v>
      </c>
      <c r="O9" s="31">
        <v>48.44</v>
      </c>
      <c r="P9" s="31">
        <v>48.44</v>
      </c>
      <c r="Q9" s="7">
        <f t="shared" si="1"/>
        <v>94.570365358592696</v>
      </c>
      <c r="R9" s="7">
        <f t="shared" si="2"/>
        <v>2885.5284888521883</v>
      </c>
      <c r="S9" s="36">
        <f t="shared" si="3"/>
        <v>6.6242619119655372E-2</v>
      </c>
      <c r="T9" s="31">
        <v>1478</v>
      </c>
      <c r="V9" t="s">
        <v>27</v>
      </c>
      <c r="W9" t="s">
        <v>28</v>
      </c>
    </row>
    <row r="10" spans="1:42" x14ac:dyDescent="0.25">
      <c r="A10" t="s">
        <v>41</v>
      </c>
      <c r="B10" t="s">
        <v>42</v>
      </c>
      <c r="C10" s="17">
        <v>45859</v>
      </c>
      <c r="D10" s="7">
        <v>255000</v>
      </c>
      <c r="E10" t="s">
        <v>25</v>
      </c>
      <c r="F10" t="s">
        <v>26</v>
      </c>
      <c r="G10" s="7">
        <v>255000</v>
      </c>
      <c r="H10" s="7">
        <v>109600</v>
      </c>
      <c r="I10" s="12">
        <f t="shared" si="0"/>
        <v>42.980392156862749</v>
      </c>
      <c r="J10" s="7">
        <v>219199</v>
      </c>
      <c r="K10" s="7">
        <f>G10-189199</f>
        <v>65801</v>
      </c>
      <c r="L10" s="7">
        <v>30000</v>
      </c>
      <c r="M10" s="22">
        <v>330.1</v>
      </c>
      <c r="N10" s="26">
        <v>660</v>
      </c>
      <c r="O10" s="31">
        <v>5</v>
      </c>
      <c r="P10" s="31">
        <v>5</v>
      </c>
      <c r="Q10" s="7">
        <f t="shared" si="1"/>
        <v>199.33656467737049</v>
      </c>
      <c r="R10" s="7">
        <f t="shared" si="2"/>
        <v>13160.2</v>
      </c>
      <c r="S10" s="36">
        <f t="shared" si="3"/>
        <v>0.3021166207529844</v>
      </c>
      <c r="T10" s="31">
        <v>330.1</v>
      </c>
      <c r="V10" t="s">
        <v>27</v>
      </c>
      <c r="W10" t="s">
        <v>28</v>
      </c>
    </row>
    <row r="11" spans="1:42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25</v>
      </c>
      <c r="F11" t="s">
        <v>26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f>G11-61164</f>
        <v>18836</v>
      </c>
      <c r="L11" s="7">
        <v>40000</v>
      </c>
      <c r="M11" s="22">
        <v>800</v>
      </c>
      <c r="N11" s="26">
        <v>544.5</v>
      </c>
      <c r="O11" s="31">
        <v>10</v>
      </c>
      <c r="P11" s="31">
        <v>10</v>
      </c>
      <c r="Q11" s="7">
        <f t="shared" si="1"/>
        <v>23.545000000000002</v>
      </c>
      <c r="R11" s="7">
        <f t="shared" si="2"/>
        <v>1883.6</v>
      </c>
      <c r="S11" s="36">
        <f t="shared" si="3"/>
        <v>4.3241505968778696E-2</v>
      </c>
      <c r="T11" s="31">
        <v>800</v>
      </c>
      <c r="V11" t="s">
        <v>27</v>
      </c>
      <c r="W11" t="s">
        <v>28</v>
      </c>
    </row>
    <row r="12" spans="1:42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25</v>
      </c>
      <c r="F12" t="s">
        <v>26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f>G12-178396</f>
        <v>132604</v>
      </c>
      <c r="L12" s="7">
        <v>76000</v>
      </c>
      <c r="M12" s="22">
        <v>660</v>
      </c>
      <c r="N12" s="26">
        <v>1320</v>
      </c>
      <c r="O12" s="31">
        <v>20</v>
      </c>
      <c r="P12" s="31">
        <v>20</v>
      </c>
      <c r="Q12" s="7">
        <f t="shared" si="1"/>
        <v>200.91515151515151</v>
      </c>
      <c r="R12" s="7">
        <f t="shared" si="2"/>
        <v>6630.2</v>
      </c>
      <c r="S12" s="36">
        <f t="shared" si="3"/>
        <v>0.15220844811753903</v>
      </c>
      <c r="T12" s="31">
        <v>660</v>
      </c>
      <c r="V12" t="s">
        <v>27</v>
      </c>
      <c r="W12" t="s">
        <v>28</v>
      </c>
    </row>
    <row r="13" spans="1:42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25</v>
      </c>
      <c r="F13" t="s">
        <v>26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f>G13-251829</f>
        <v>148171</v>
      </c>
      <c r="L13" s="7">
        <v>96000</v>
      </c>
      <c r="M13" s="22">
        <v>2640</v>
      </c>
      <c r="N13" s="26">
        <v>1320</v>
      </c>
      <c r="O13" s="31">
        <v>80</v>
      </c>
      <c r="P13" s="31">
        <v>80</v>
      </c>
      <c r="Q13" s="7">
        <f t="shared" si="1"/>
        <v>56.125378787878788</v>
      </c>
      <c r="R13" s="7">
        <f t="shared" si="2"/>
        <v>1852.1375</v>
      </c>
      <c r="S13" s="36">
        <f t="shared" si="3"/>
        <v>4.2519226354453626E-2</v>
      </c>
      <c r="T13" s="31">
        <v>2640</v>
      </c>
      <c r="V13" t="s">
        <v>27</v>
      </c>
      <c r="W13" t="s">
        <v>28</v>
      </c>
    </row>
    <row r="14" spans="1:42" x14ac:dyDescent="0.25">
      <c r="A14" t="s">
        <v>49</v>
      </c>
      <c r="B14" t="s">
        <v>50</v>
      </c>
      <c r="C14" s="17">
        <v>45261</v>
      </c>
      <c r="D14" s="7">
        <v>68500</v>
      </c>
      <c r="E14" t="s">
        <v>25</v>
      </c>
      <c r="F14" t="s">
        <v>26</v>
      </c>
      <c r="G14" s="7">
        <v>68500</v>
      </c>
      <c r="H14" s="7">
        <v>41000</v>
      </c>
      <c r="I14" s="12">
        <f t="shared" si="0"/>
        <v>59.854014598540154</v>
      </c>
      <c r="J14" s="7">
        <v>82056</v>
      </c>
      <c r="K14" s="7">
        <f>G14-6056</f>
        <v>62444</v>
      </c>
      <c r="L14" s="7">
        <v>76000</v>
      </c>
      <c r="M14" s="22">
        <v>660</v>
      </c>
      <c r="N14" s="26">
        <v>1320</v>
      </c>
      <c r="O14" s="31">
        <v>20</v>
      </c>
      <c r="P14" s="31">
        <v>20</v>
      </c>
      <c r="Q14" s="7">
        <f t="shared" si="1"/>
        <v>94.61212121212121</v>
      </c>
      <c r="R14" s="7">
        <f t="shared" si="2"/>
        <v>3122.2</v>
      </c>
      <c r="S14" s="36">
        <f t="shared" si="3"/>
        <v>7.1675849403122133E-2</v>
      </c>
      <c r="T14" s="31">
        <v>660</v>
      </c>
      <c r="V14" t="s">
        <v>27</v>
      </c>
    </row>
    <row r="15" spans="1:42" x14ac:dyDescent="0.25">
      <c r="A15" t="s">
        <v>51</v>
      </c>
      <c r="B15" t="s">
        <v>52</v>
      </c>
      <c r="C15" s="17">
        <v>45275</v>
      </c>
      <c r="D15" s="7">
        <v>609500</v>
      </c>
      <c r="E15" t="s">
        <v>25</v>
      </c>
      <c r="F15" t="s">
        <v>26</v>
      </c>
      <c r="G15" s="7">
        <v>609500</v>
      </c>
      <c r="H15" s="7">
        <v>289500</v>
      </c>
      <c r="I15" s="12">
        <f t="shared" si="0"/>
        <v>47.497949138638226</v>
      </c>
      <c r="J15" s="7">
        <v>578997</v>
      </c>
      <c r="K15" s="7">
        <f>G15-322997</f>
        <v>286503</v>
      </c>
      <c r="L15" s="7">
        <v>256000</v>
      </c>
      <c r="M15" s="22">
        <v>1320</v>
      </c>
      <c r="N15" s="26">
        <v>2640</v>
      </c>
      <c r="O15" s="31">
        <v>80</v>
      </c>
      <c r="P15" s="31">
        <v>80</v>
      </c>
      <c r="Q15" s="7">
        <f t="shared" si="1"/>
        <v>217.04772727272729</v>
      </c>
      <c r="R15" s="7">
        <f t="shared" si="2"/>
        <v>3581.2874999999999</v>
      </c>
      <c r="S15" s="36">
        <f t="shared" si="3"/>
        <v>8.2215048209366384E-2</v>
      </c>
      <c r="T15" s="31">
        <v>1320</v>
      </c>
      <c r="V15" t="s">
        <v>27</v>
      </c>
      <c r="W15" t="s">
        <v>28</v>
      </c>
    </row>
    <row r="16" spans="1:42" x14ac:dyDescent="0.25">
      <c r="A16" t="s">
        <v>53</v>
      </c>
      <c r="B16" t="s">
        <v>54</v>
      </c>
      <c r="C16" s="17">
        <v>44705</v>
      </c>
      <c r="D16" s="7">
        <v>75000</v>
      </c>
      <c r="E16" t="s">
        <v>25</v>
      </c>
      <c r="F16" t="s">
        <v>26</v>
      </c>
      <c r="G16" s="7">
        <v>75000</v>
      </c>
      <c r="H16" s="7">
        <v>44000</v>
      </c>
      <c r="I16" s="12">
        <f t="shared" si="0"/>
        <v>58.666666666666664</v>
      </c>
      <c r="J16" s="7">
        <v>87936</v>
      </c>
      <c r="K16" s="7">
        <f>G16-39936</f>
        <v>35064</v>
      </c>
      <c r="L16" s="7">
        <v>48000</v>
      </c>
      <c r="M16" s="22">
        <v>396</v>
      </c>
      <c r="N16" s="26">
        <v>1320</v>
      </c>
      <c r="O16" s="31">
        <v>12</v>
      </c>
      <c r="P16" s="31">
        <v>12</v>
      </c>
      <c r="Q16" s="7">
        <f t="shared" si="1"/>
        <v>88.545454545454547</v>
      </c>
      <c r="R16" s="7">
        <f t="shared" si="2"/>
        <v>2922</v>
      </c>
      <c r="S16" s="36">
        <f t="shared" si="3"/>
        <v>6.7079889807162535E-2</v>
      </c>
      <c r="T16" s="31">
        <v>396</v>
      </c>
      <c r="V16" t="s">
        <v>27</v>
      </c>
      <c r="W16" t="s">
        <v>28</v>
      </c>
    </row>
    <row r="17" spans="1:23" x14ac:dyDescent="0.25">
      <c r="A17" t="s">
        <v>55</v>
      </c>
      <c r="B17" t="s">
        <v>56</v>
      </c>
      <c r="C17" s="17">
        <v>44902</v>
      </c>
      <c r="D17" s="7">
        <v>210000</v>
      </c>
      <c r="E17" t="s">
        <v>25</v>
      </c>
      <c r="F17" t="s">
        <v>26</v>
      </c>
      <c r="G17" s="7">
        <v>210000</v>
      </c>
      <c r="H17" s="7">
        <v>112300</v>
      </c>
      <c r="I17" s="12">
        <f t="shared" si="0"/>
        <v>53.476190476190474</v>
      </c>
      <c r="J17" s="7">
        <v>224564</v>
      </c>
      <c r="K17" s="7">
        <f>G17-196564</f>
        <v>13436</v>
      </c>
      <c r="L17" s="7">
        <v>28000</v>
      </c>
      <c r="M17" s="22">
        <v>525</v>
      </c>
      <c r="N17" s="26">
        <v>330</v>
      </c>
      <c r="O17" s="31">
        <v>4</v>
      </c>
      <c r="P17" s="31">
        <v>4</v>
      </c>
      <c r="Q17" s="7">
        <f t="shared" si="1"/>
        <v>25.592380952380953</v>
      </c>
      <c r="R17" s="7">
        <f t="shared" si="2"/>
        <v>3359</v>
      </c>
      <c r="S17" s="36">
        <f t="shared" si="3"/>
        <v>7.7112029384756656E-2</v>
      </c>
      <c r="T17" s="31">
        <v>525</v>
      </c>
      <c r="V17" t="s">
        <v>27</v>
      </c>
      <c r="W17" t="s">
        <v>28</v>
      </c>
    </row>
    <row r="18" spans="1:23" x14ac:dyDescent="0.25">
      <c r="A18" t="s">
        <v>57</v>
      </c>
      <c r="B18" t="s">
        <v>58</v>
      </c>
      <c r="C18" s="17">
        <v>45840</v>
      </c>
      <c r="D18" s="7">
        <v>170000</v>
      </c>
      <c r="E18" t="s">
        <v>25</v>
      </c>
      <c r="F18" t="s">
        <v>26</v>
      </c>
      <c r="G18" s="7">
        <v>170000</v>
      </c>
      <c r="H18" s="7">
        <v>82300</v>
      </c>
      <c r="I18" s="12">
        <f t="shared" si="0"/>
        <v>48.411764705882355</v>
      </c>
      <c r="J18" s="7">
        <v>164545</v>
      </c>
      <c r="K18" s="7">
        <f>G18-124545</f>
        <v>45455</v>
      </c>
      <c r="L18" s="7">
        <v>40000</v>
      </c>
      <c r="M18" s="22">
        <v>330</v>
      </c>
      <c r="N18" s="26">
        <v>1320</v>
      </c>
      <c r="O18" s="31">
        <v>10</v>
      </c>
      <c r="P18" s="31">
        <v>10</v>
      </c>
      <c r="Q18" s="7">
        <f t="shared" si="1"/>
        <v>137.74242424242425</v>
      </c>
      <c r="R18" s="7">
        <f t="shared" si="2"/>
        <v>4545.5</v>
      </c>
      <c r="S18" s="36">
        <f t="shared" si="3"/>
        <v>0.10435032139577594</v>
      </c>
      <c r="T18" s="31">
        <v>330</v>
      </c>
      <c r="V18" t="s">
        <v>27</v>
      </c>
      <c r="W18" t="s">
        <v>28</v>
      </c>
    </row>
    <row r="19" spans="1:23" x14ac:dyDescent="0.25">
      <c r="A19" t="s">
        <v>59</v>
      </c>
      <c r="B19" t="s">
        <v>60</v>
      </c>
      <c r="C19" s="17">
        <v>45504</v>
      </c>
      <c r="D19" s="7">
        <v>190000</v>
      </c>
      <c r="E19" t="s">
        <v>25</v>
      </c>
      <c r="F19" t="s">
        <v>26</v>
      </c>
      <c r="G19" s="7">
        <v>190000</v>
      </c>
      <c r="H19" s="7">
        <v>69100</v>
      </c>
      <c r="I19" s="12">
        <f t="shared" si="0"/>
        <v>36.368421052631575</v>
      </c>
      <c r="J19" s="7">
        <v>138188</v>
      </c>
      <c r="K19" s="7">
        <f>G19-98148</f>
        <v>91852</v>
      </c>
      <c r="L19" s="7">
        <v>40040</v>
      </c>
      <c r="M19" s="22">
        <v>330</v>
      </c>
      <c r="N19" s="26">
        <v>1320</v>
      </c>
      <c r="O19" s="31">
        <v>10.01</v>
      </c>
      <c r="P19" s="31">
        <v>10.01</v>
      </c>
      <c r="Q19" s="7">
        <f t="shared" si="1"/>
        <v>278.33939393939391</v>
      </c>
      <c r="R19" s="7">
        <f t="shared" si="2"/>
        <v>9176.0239760239765</v>
      </c>
      <c r="S19" s="36">
        <f t="shared" si="3"/>
        <v>0.21065252470211149</v>
      </c>
      <c r="T19" s="31">
        <v>330</v>
      </c>
      <c r="V19" t="s">
        <v>27</v>
      </c>
      <c r="W19" t="s">
        <v>28</v>
      </c>
    </row>
    <row r="20" spans="1:23" x14ac:dyDescent="0.25">
      <c r="A20" t="s">
        <v>61</v>
      </c>
      <c r="B20" t="s">
        <v>62</v>
      </c>
      <c r="C20" s="17">
        <v>45929</v>
      </c>
      <c r="D20" s="7">
        <v>406000</v>
      </c>
      <c r="E20" t="s">
        <v>25</v>
      </c>
      <c r="F20" t="s">
        <v>26</v>
      </c>
      <c r="G20" s="7">
        <v>406000</v>
      </c>
      <c r="H20" s="7">
        <v>178900</v>
      </c>
      <c r="I20" s="12">
        <f t="shared" si="0"/>
        <v>44.064039408866996</v>
      </c>
      <c r="J20" s="7">
        <v>357822</v>
      </c>
      <c r="K20" s="7">
        <f>G20-328482</f>
        <v>77518</v>
      </c>
      <c r="L20" s="7">
        <v>29340</v>
      </c>
      <c r="M20" s="22">
        <v>618</v>
      </c>
      <c r="N20" s="26">
        <v>329</v>
      </c>
      <c r="O20" s="31">
        <v>4.67</v>
      </c>
      <c r="P20" s="31">
        <v>4.67</v>
      </c>
      <c r="Q20" s="7">
        <f t="shared" si="1"/>
        <v>125.4336569579288</v>
      </c>
      <c r="R20" s="7">
        <f t="shared" si="2"/>
        <v>16599.143468950751</v>
      </c>
      <c r="S20" s="36">
        <f t="shared" si="3"/>
        <v>0.38106389965451681</v>
      </c>
      <c r="T20" s="31">
        <v>618</v>
      </c>
      <c r="V20" t="s">
        <v>27</v>
      </c>
      <c r="W20" t="s">
        <v>28</v>
      </c>
    </row>
    <row r="21" spans="1:23" x14ac:dyDescent="0.25">
      <c r="A21" t="s">
        <v>63</v>
      </c>
      <c r="B21" t="s">
        <v>64</v>
      </c>
      <c r="C21" s="17">
        <v>45666</v>
      </c>
      <c r="D21" s="7">
        <v>110000</v>
      </c>
      <c r="E21" t="s">
        <v>25</v>
      </c>
      <c r="F21" t="s">
        <v>26</v>
      </c>
      <c r="G21" s="7">
        <v>110000</v>
      </c>
      <c r="H21" s="7">
        <v>44800</v>
      </c>
      <c r="I21" s="12">
        <f t="shared" si="0"/>
        <v>40.727272727272727</v>
      </c>
      <c r="J21" s="7">
        <v>89567</v>
      </c>
      <c r="K21" s="7">
        <f>G21-49567</f>
        <v>60433</v>
      </c>
      <c r="L21" s="7">
        <v>40000</v>
      </c>
      <c r="M21" s="22">
        <v>330</v>
      </c>
      <c r="N21" s="26">
        <v>1320</v>
      </c>
      <c r="O21" s="31">
        <v>10</v>
      </c>
      <c r="P21" s="31">
        <v>10</v>
      </c>
      <c r="Q21" s="7">
        <f t="shared" si="1"/>
        <v>183.13030303030303</v>
      </c>
      <c r="R21" s="7">
        <f t="shared" si="2"/>
        <v>6043.3</v>
      </c>
      <c r="S21" s="36">
        <f t="shared" si="3"/>
        <v>0.13873507805325988</v>
      </c>
      <c r="T21" s="31">
        <v>330</v>
      </c>
      <c r="V21" t="s">
        <v>27</v>
      </c>
      <c r="W21" t="s">
        <v>28</v>
      </c>
    </row>
    <row r="22" spans="1:23" x14ac:dyDescent="0.25">
      <c r="A22" t="s">
        <v>65</v>
      </c>
      <c r="B22" t="s">
        <v>66</v>
      </c>
      <c r="C22" s="17">
        <v>45195</v>
      </c>
      <c r="D22" s="7">
        <v>155000</v>
      </c>
      <c r="E22" t="s">
        <v>25</v>
      </c>
      <c r="F22" t="s">
        <v>26</v>
      </c>
      <c r="G22" s="7">
        <v>155000</v>
      </c>
      <c r="H22" s="7">
        <v>80400</v>
      </c>
      <c r="I22" s="12">
        <f t="shared" si="0"/>
        <v>51.87096774193548</v>
      </c>
      <c r="J22" s="7">
        <v>160800</v>
      </c>
      <c r="K22" s="7">
        <f>G22-84800</f>
        <v>70200</v>
      </c>
      <c r="L22" s="7">
        <v>76000</v>
      </c>
      <c r="M22" s="22">
        <v>659</v>
      </c>
      <c r="N22" s="26">
        <v>1320.090942</v>
      </c>
      <c r="O22" s="31">
        <v>20</v>
      </c>
      <c r="P22" s="31">
        <v>20</v>
      </c>
      <c r="Q22" s="7">
        <f t="shared" si="1"/>
        <v>106.52503793626707</v>
      </c>
      <c r="R22" s="7">
        <f t="shared" si="2"/>
        <v>3510</v>
      </c>
      <c r="S22" s="36">
        <f t="shared" si="3"/>
        <v>8.057851239669421E-2</v>
      </c>
      <c r="T22" s="31">
        <v>659</v>
      </c>
      <c r="V22" t="s">
        <v>27</v>
      </c>
      <c r="W22" t="s">
        <v>28</v>
      </c>
    </row>
    <row r="23" spans="1:23" x14ac:dyDescent="0.25">
      <c r="A23" t="s">
        <v>67</v>
      </c>
      <c r="B23" t="s">
        <v>68</v>
      </c>
      <c r="C23" s="17">
        <v>45782</v>
      </c>
      <c r="D23" s="7">
        <v>57400</v>
      </c>
      <c r="E23" t="s">
        <v>25</v>
      </c>
      <c r="F23" t="s">
        <v>26</v>
      </c>
      <c r="G23" s="7">
        <v>57400</v>
      </c>
      <c r="H23" s="7">
        <v>38100</v>
      </c>
      <c r="I23" s="12">
        <f t="shared" si="0"/>
        <v>66.376306620209064</v>
      </c>
      <c r="J23" s="7">
        <v>76200</v>
      </c>
      <c r="K23" s="7">
        <f>G23-0</f>
        <v>57400</v>
      </c>
      <c r="L23" s="7">
        <v>76000</v>
      </c>
      <c r="M23" s="22">
        <v>339.49</v>
      </c>
      <c r="N23" s="26">
        <v>1323</v>
      </c>
      <c r="O23" s="31">
        <v>20</v>
      </c>
      <c r="P23" s="31">
        <v>20</v>
      </c>
      <c r="Q23" s="7">
        <f t="shared" si="1"/>
        <v>169.0771451294589</v>
      </c>
      <c r="R23" s="7">
        <f t="shared" si="2"/>
        <v>2870</v>
      </c>
      <c r="S23" s="36">
        <f t="shared" si="3"/>
        <v>6.5886134067952254E-2</v>
      </c>
      <c r="T23" s="31">
        <v>339.49</v>
      </c>
      <c r="V23" t="s">
        <v>27</v>
      </c>
      <c r="W23" t="s">
        <v>28</v>
      </c>
    </row>
    <row r="24" spans="1:23" x14ac:dyDescent="0.25">
      <c r="A24" t="s">
        <v>67</v>
      </c>
      <c r="B24" t="s">
        <v>68</v>
      </c>
      <c r="C24" s="17">
        <v>45812</v>
      </c>
      <c r="D24" s="7">
        <v>97000</v>
      </c>
      <c r="E24" t="s">
        <v>25</v>
      </c>
      <c r="F24" t="s">
        <v>26</v>
      </c>
      <c r="G24" s="7">
        <v>97000</v>
      </c>
      <c r="H24" s="7">
        <v>38100</v>
      </c>
      <c r="I24" s="12">
        <f t="shared" si="0"/>
        <v>39.27835051546392</v>
      </c>
      <c r="J24" s="7">
        <v>76200</v>
      </c>
      <c r="K24" s="7">
        <f>G24-0</f>
        <v>97000</v>
      </c>
      <c r="L24" s="7">
        <v>76000</v>
      </c>
      <c r="M24" s="22">
        <v>339.49</v>
      </c>
      <c r="N24" s="26">
        <v>1323</v>
      </c>
      <c r="O24" s="31">
        <v>20</v>
      </c>
      <c r="P24" s="31">
        <v>20</v>
      </c>
      <c r="Q24" s="7">
        <f t="shared" si="1"/>
        <v>285.72270169960825</v>
      </c>
      <c r="R24" s="7">
        <f t="shared" si="2"/>
        <v>4850</v>
      </c>
      <c r="S24" s="36">
        <f t="shared" si="3"/>
        <v>0.11134067952249771</v>
      </c>
      <c r="T24" s="31">
        <v>339.49</v>
      </c>
      <c r="V24" t="s">
        <v>27</v>
      </c>
      <c r="W24" t="s">
        <v>28</v>
      </c>
    </row>
    <row r="25" spans="1:23" x14ac:dyDescent="0.25">
      <c r="A25" t="s">
        <v>69</v>
      </c>
      <c r="B25" t="s">
        <v>70</v>
      </c>
      <c r="C25" s="17">
        <v>45334</v>
      </c>
      <c r="D25" s="7">
        <v>205000</v>
      </c>
      <c r="E25" t="s">
        <v>25</v>
      </c>
      <c r="F25" t="s">
        <v>26</v>
      </c>
      <c r="G25" s="7">
        <v>205000</v>
      </c>
      <c r="H25" s="7">
        <v>93200</v>
      </c>
      <c r="I25" s="12">
        <f t="shared" si="0"/>
        <v>45.463414634146346</v>
      </c>
      <c r="J25" s="7">
        <v>186384</v>
      </c>
      <c r="K25" s="7">
        <f>G25-146144</f>
        <v>58856</v>
      </c>
      <c r="L25" s="7">
        <v>40240</v>
      </c>
      <c r="M25" s="22">
        <v>0</v>
      </c>
      <c r="N25" s="26">
        <v>0</v>
      </c>
      <c r="O25" s="31">
        <v>10.06</v>
      </c>
      <c r="P25" s="31">
        <v>10.06</v>
      </c>
      <c r="Q25" s="7" t="e">
        <f t="shared" si="1"/>
        <v>#DIV/0!</v>
      </c>
      <c r="R25" s="7">
        <f t="shared" si="2"/>
        <v>5850.4970178926442</v>
      </c>
      <c r="S25" s="36">
        <f t="shared" si="3"/>
        <v>0.13430893062196153</v>
      </c>
      <c r="T25" s="31">
        <v>0</v>
      </c>
      <c r="V25" t="s">
        <v>27</v>
      </c>
    </row>
    <row r="26" spans="1:23" x14ac:dyDescent="0.25">
      <c r="A26" t="s">
        <v>71</v>
      </c>
      <c r="B26" t="s">
        <v>72</v>
      </c>
      <c r="C26" s="17">
        <v>45691</v>
      </c>
      <c r="D26" s="7">
        <v>47000</v>
      </c>
      <c r="E26" t="s">
        <v>25</v>
      </c>
      <c r="F26" t="s">
        <v>26</v>
      </c>
      <c r="G26" s="7">
        <v>47000</v>
      </c>
      <c r="H26" s="7">
        <v>20000</v>
      </c>
      <c r="I26" s="12">
        <f t="shared" si="0"/>
        <v>42.553191489361701</v>
      </c>
      <c r="J26" s="7">
        <v>40000</v>
      </c>
      <c r="K26" s="7">
        <f>G26-0</f>
        <v>47000</v>
      </c>
      <c r="L26" s="7">
        <v>40000</v>
      </c>
      <c r="M26" s="22">
        <v>330</v>
      </c>
      <c r="N26" s="26">
        <v>1320</v>
      </c>
      <c r="O26" s="31">
        <v>10</v>
      </c>
      <c r="P26" s="31">
        <v>10</v>
      </c>
      <c r="Q26" s="7">
        <f t="shared" si="1"/>
        <v>142.42424242424244</v>
      </c>
      <c r="R26" s="7">
        <f t="shared" si="2"/>
        <v>4700</v>
      </c>
      <c r="S26" s="36">
        <f t="shared" si="3"/>
        <v>0.1078971533516988</v>
      </c>
      <c r="T26" s="31">
        <v>330</v>
      </c>
      <c r="V26" t="s">
        <v>27</v>
      </c>
      <c r="W26" t="s">
        <v>28</v>
      </c>
    </row>
    <row r="27" spans="1:23" x14ac:dyDescent="0.25">
      <c r="A27" t="s">
        <v>73</v>
      </c>
      <c r="B27" t="s">
        <v>74</v>
      </c>
      <c r="C27" s="17">
        <v>45772</v>
      </c>
      <c r="D27" s="7">
        <v>132900</v>
      </c>
      <c r="E27" t="s">
        <v>25</v>
      </c>
      <c r="F27" t="s">
        <v>26</v>
      </c>
      <c r="G27" s="7">
        <v>132900</v>
      </c>
      <c r="H27" s="7">
        <v>69200</v>
      </c>
      <c r="I27" s="12">
        <f t="shared" si="0"/>
        <v>52.069224981188867</v>
      </c>
      <c r="J27" s="7">
        <v>138326</v>
      </c>
      <c r="K27" s="7">
        <f>G27-98326</f>
        <v>34574</v>
      </c>
      <c r="L27" s="7">
        <v>40000</v>
      </c>
      <c r="M27" s="22">
        <v>330</v>
      </c>
      <c r="N27" s="26">
        <v>1320</v>
      </c>
      <c r="O27" s="31">
        <v>10</v>
      </c>
      <c r="P27" s="31">
        <v>10</v>
      </c>
      <c r="Q27" s="7">
        <f t="shared" si="1"/>
        <v>104.76969696969697</v>
      </c>
      <c r="R27" s="7">
        <f t="shared" si="2"/>
        <v>3457.4</v>
      </c>
      <c r="S27" s="36">
        <f t="shared" si="3"/>
        <v>7.9370982552800742E-2</v>
      </c>
      <c r="T27" s="31">
        <v>330</v>
      </c>
      <c r="V27" t="s">
        <v>27</v>
      </c>
      <c r="W27" t="s">
        <v>28</v>
      </c>
    </row>
    <row r="28" spans="1:23" x14ac:dyDescent="0.25">
      <c r="A28" t="s">
        <v>75</v>
      </c>
      <c r="B28" t="s">
        <v>76</v>
      </c>
      <c r="C28" s="17">
        <v>44652</v>
      </c>
      <c r="D28" s="7">
        <v>276000</v>
      </c>
      <c r="E28" t="s">
        <v>25</v>
      </c>
      <c r="F28" t="s">
        <v>26</v>
      </c>
      <c r="G28" s="7">
        <v>276000</v>
      </c>
      <c r="H28" s="7">
        <v>137000</v>
      </c>
      <c r="I28" s="12">
        <f t="shared" si="0"/>
        <v>49.637681159420289</v>
      </c>
      <c r="J28" s="7">
        <v>273963</v>
      </c>
      <c r="K28" s="7">
        <f>G28-244043</f>
        <v>31957</v>
      </c>
      <c r="L28" s="7">
        <v>29920</v>
      </c>
      <c r="M28" s="22">
        <v>465</v>
      </c>
      <c r="N28" s="26">
        <v>465</v>
      </c>
      <c r="O28" s="31">
        <v>4.96</v>
      </c>
      <c r="P28" s="31">
        <v>4.96</v>
      </c>
      <c r="Q28" s="7">
        <f t="shared" si="1"/>
        <v>68.724731182795693</v>
      </c>
      <c r="R28" s="7">
        <f t="shared" si="2"/>
        <v>6442.9435483870966</v>
      </c>
      <c r="S28" s="36">
        <f t="shared" si="3"/>
        <v>0.14790963150567255</v>
      </c>
      <c r="T28" s="31">
        <v>465</v>
      </c>
      <c r="V28" t="s">
        <v>27</v>
      </c>
      <c r="W28" t="s">
        <v>28</v>
      </c>
    </row>
    <row r="29" spans="1:23" x14ac:dyDescent="0.25">
      <c r="A29" t="s">
        <v>77</v>
      </c>
      <c r="B29" t="s">
        <v>78</v>
      </c>
      <c r="C29" s="17">
        <v>45491</v>
      </c>
      <c r="D29" s="7">
        <v>120000</v>
      </c>
      <c r="E29" t="s">
        <v>25</v>
      </c>
      <c r="F29" t="s">
        <v>26</v>
      </c>
      <c r="G29" s="7">
        <v>120000</v>
      </c>
      <c r="H29" s="7">
        <v>55000</v>
      </c>
      <c r="I29" s="12">
        <f t="shared" si="0"/>
        <v>45.833333333333329</v>
      </c>
      <c r="J29" s="7">
        <v>109937</v>
      </c>
      <c r="K29" s="7">
        <f>G29-69937</f>
        <v>50063</v>
      </c>
      <c r="L29" s="7">
        <v>40000</v>
      </c>
      <c r="M29" s="22">
        <v>330</v>
      </c>
      <c r="N29" s="26">
        <v>1320</v>
      </c>
      <c r="O29" s="31">
        <v>10</v>
      </c>
      <c r="P29" s="31">
        <v>10</v>
      </c>
      <c r="Q29" s="7">
        <f t="shared" si="1"/>
        <v>151.70606060606062</v>
      </c>
      <c r="R29" s="7">
        <f t="shared" si="2"/>
        <v>5006.3</v>
      </c>
      <c r="S29" s="36">
        <f t="shared" si="3"/>
        <v>0.11492883379247017</v>
      </c>
      <c r="T29" s="31">
        <v>330</v>
      </c>
      <c r="V29" t="s">
        <v>27</v>
      </c>
      <c r="W29" t="s">
        <v>28</v>
      </c>
    </row>
    <row r="30" spans="1:23" x14ac:dyDescent="0.25">
      <c r="A30" t="s">
        <v>79</v>
      </c>
      <c r="B30" t="s">
        <v>80</v>
      </c>
      <c r="C30" s="17">
        <v>45128</v>
      </c>
      <c r="D30" s="7">
        <v>83900</v>
      </c>
      <c r="E30" t="s">
        <v>25</v>
      </c>
      <c r="F30" t="s">
        <v>26</v>
      </c>
      <c r="G30" s="7">
        <v>83900</v>
      </c>
      <c r="H30" s="7">
        <v>54900</v>
      </c>
      <c r="I30" s="12">
        <f t="shared" si="0"/>
        <v>65.435041716328968</v>
      </c>
      <c r="J30" s="7">
        <v>109872</v>
      </c>
      <c r="K30" s="7">
        <f>G30-40272</f>
        <v>43628</v>
      </c>
      <c r="L30" s="7">
        <v>69600</v>
      </c>
      <c r="M30" s="22">
        <v>330</v>
      </c>
      <c r="N30" s="26">
        <v>2300</v>
      </c>
      <c r="O30" s="31">
        <v>18</v>
      </c>
      <c r="P30" s="31">
        <v>18</v>
      </c>
      <c r="Q30" s="7">
        <f t="shared" si="1"/>
        <v>132.20606060606062</v>
      </c>
      <c r="R30" s="7">
        <f t="shared" si="2"/>
        <v>2423.7777777777778</v>
      </c>
      <c r="S30" s="36">
        <f t="shared" si="3"/>
        <v>5.5642281399857156E-2</v>
      </c>
      <c r="T30" s="31">
        <v>330</v>
      </c>
      <c r="V30" t="s">
        <v>27</v>
      </c>
      <c r="W30" t="s">
        <v>28</v>
      </c>
    </row>
    <row r="31" spans="1:23" x14ac:dyDescent="0.25">
      <c r="A31" t="s">
        <v>81</v>
      </c>
      <c r="B31" t="s">
        <v>82</v>
      </c>
      <c r="C31" s="17">
        <v>44673</v>
      </c>
      <c r="D31" s="7">
        <v>83900</v>
      </c>
      <c r="E31" t="s">
        <v>25</v>
      </c>
      <c r="F31" t="s">
        <v>26</v>
      </c>
      <c r="G31" s="7">
        <v>83900</v>
      </c>
      <c r="H31" s="7">
        <v>43800</v>
      </c>
      <c r="I31" s="12">
        <f t="shared" si="0"/>
        <v>52.205005959475571</v>
      </c>
      <c r="J31" s="7">
        <v>87654</v>
      </c>
      <c r="K31" s="7">
        <f>G31-75654</f>
        <v>8246</v>
      </c>
      <c r="L31" s="7">
        <v>12000</v>
      </c>
      <c r="M31" s="22">
        <v>80</v>
      </c>
      <c r="N31" s="26">
        <v>188.300003</v>
      </c>
      <c r="O31" s="31">
        <v>0.34599999999999997</v>
      </c>
      <c r="P31" s="31">
        <v>0.34599999999999997</v>
      </c>
      <c r="Q31" s="7">
        <f t="shared" si="1"/>
        <v>103.075</v>
      </c>
      <c r="R31" s="7">
        <f t="shared" si="2"/>
        <v>23832.369942196532</v>
      </c>
      <c r="S31" s="36">
        <f t="shared" si="3"/>
        <v>0.54711593072076525</v>
      </c>
      <c r="T31" s="31">
        <v>80</v>
      </c>
      <c r="V31" t="s">
        <v>27</v>
      </c>
      <c r="W31" t="s">
        <v>28</v>
      </c>
    </row>
    <row r="32" spans="1:23" ht="15.75" thickBot="1" x14ac:dyDescent="0.3">
      <c r="A32" t="s">
        <v>83</v>
      </c>
      <c r="B32" t="s">
        <v>84</v>
      </c>
      <c r="C32" s="17">
        <v>45975</v>
      </c>
      <c r="D32" s="7">
        <v>155000</v>
      </c>
      <c r="E32" t="s">
        <v>25</v>
      </c>
      <c r="F32" t="s">
        <v>26</v>
      </c>
      <c r="G32" s="7">
        <v>155000</v>
      </c>
      <c r="H32" s="7">
        <v>76800</v>
      </c>
      <c r="I32" s="12">
        <f t="shared" si="0"/>
        <v>49.548387096774192</v>
      </c>
      <c r="J32" s="7">
        <v>153656</v>
      </c>
      <c r="K32" s="7">
        <f>G32-132956</f>
        <v>22044</v>
      </c>
      <c r="L32" s="7">
        <v>20700</v>
      </c>
      <c r="M32" s="22">
        <v>230</v>
      </c>
      <c r="N32" s="26">
        <v>194</v>
      </c>
      <c r="O32" s="31">
        <v>1.024</v>
      </c>
      <c r="P32" s="31">
        <v>1.024</v>
      </c>
      <c r="Q32" s="7">
        <f t="shared" si="1"/>
        <v>95.84347826086956</v>
      </c>
      <c r="R32" s="7">
        <f t="shared" si="2"/>
        <v>21527.34375</v>
      </c>
      <c r="S32" s="36">
        <f t="shared" si="3"/>
        <v>0.49419981060606061</v>
      </c>
      <c r="T32" s="31">
        <v>230</v>
      </c>
      <c r="V32" t="s">
        <v>27</v>
      </c>
      <c r="W32" t="s">
        <v>28</v>
      </c>
    </row>
    <row r="33" spans="1:23" ht="15.75" thickTop="1" x14ac:dyDescent="0.25">
      <c r="A33" s="3"/>
      <c r="B33" s="3"/>
      <c r="C33" s="18" t="s">
        <v>85</v>
      </c>
      <c r="D33" s="8">
        <f>+SUM(D2:D32)</f>
        <v>5952100</v>
      </c>
      <c r="E33" s="3"/>
      <c r="F33" s="3"/>
      <c r="G33" s="8">
        <f>+SUM(G2:G32)</f>
        <v>5952100</v>
      </c>
      <c r="H33" s="8">
        <f>+SUM(H2:H32)</f>
        <v>2771500</v>
      </c>
      <c r="I33" s="13"/>
      <c r="J33" s="8">
        <f>+SUM(J2:J32)</f>
        <v>5542625</v>
      </c>
      <c r="K33" s="8">
        <f>+SUM(K2:K32)</f>
        <v>2193937</v>
      </c>
      <c r="L33" s="8">
        <f>+SUM(L2:L32)</f>
        <v>1784062</v>
      </c>
      <c r="M33" s="23">
        <f>+SUM(M2:M32)</f>
        <v>17780.129999999997</v>
      </c>
      <c r="N33" s="27"/>
      <c r="O33" s="32">
        <f>+SUM(O2:O32)</f>
        <v>497.37</v>
      </c>
      <c r="P33" s="32">
        <f>+SUM(P2:P32)</f>
        <v>497.37</v>
      </c>
      <c r="Q33" s="8"/>
      <c r="R33" s="8"/>
      <c r="S33" s="37"/>
      <c r="T33" s="32"/>
      <c r="U33" s="3"/>
      <c r="V33" s="3"/>
      <c r="W33" s="3"/>
    </row>
    <row r="34" spans="1:23" x14ac:dyDescent="0.25">
      <c r="A34" s="4"/>
      <c r="B34" s="4"/>
      <c r="C34" s="19"/>
      <c r="D34" s="9"/>
      <c r="E34" s="4"/>
      <c r="F34" s="4"/>
      <c r="G34" s="9"/>
      <c r="H34" s="9" t="s">
        <v>86</v>
      </c>
      <c r="I34" s="14">
        <f>H33/G33*100</f>
        <v>46.563397792375802</v>
      </c>
      <c r="J34" s="9"/>
      <c r="K34" s="9"/>
      <c r="L34" s="9" t="s">
        <v>87</v>
      </c>
      <c r="M34" s="24"/>
      <c r="N34" s="28"/>
      <c r="O34" s="33" t="s">
        <v>87</v>
      </c>
      <c r="P34" s="33"/>
      <c r="Q34" s="9"/>
      <c r="R34" s="9" t="s">
        <v>87</v>
      </c>
      <c r="S34" s="38"/>
      <c r="T34" s="33"/>
      <c r="U34" s="4"/>
      <c r="V34" s="4"/>
      <c r="W34" s="4"/>
    </row>
    <row r="35" spans="1:23" x14ac:dyDescent="0.25">
      <c r="A35" s="5"/>
      <c r="B35" s="5"/>
      <c r="C35" s="20"/>
      <c r="D35" s="10"/>
      <c r="E35" s="5"/>
      <c r="F35" s="5"/>
      <c r="G35" s="10"/>
      <c r="H35" s="10" t="s">
        <v>88</v>
      </c>
      <c r="I35" s="15">
        <f>STDEV(I2:I32)</f>
        <v>8.6453837344791111</v>
      </c>
      <c r="J35" s="10"/>
      <c r="K35" s="10"/>
      <c r="L35" s="10" t="s">
        <v>89</v>
      </c>
      <c r="M35" s="40">
        <f>K33/M33</f>
        <v>123.39262986266131</v>
      </c>
      <c r="N35" s="29"/>
      <c r="O35" s="34" t="s">
        <v>90</v>
      </c>
      <c r="P35" s="34">
        <f>K33/O33</f>
        <v>4411.0762611335622</v>
      </c>
      <c r="Q35" s="10"/>
      <c r="R35" s="10" t="s">
        <v>91</v>
      </c>
      <c r="S35" s="39">
        <f>K33/O33/43560</f>
        <v>0.10126437697735451</v>
      </c>
      <c r="T35" s="34"/>
      <c r="U35" s="5"/>
      <c r="V35" s="5"/>
      <c r="W35" s="5"/>
    </row>
  </sheetData>
  <conditionalFormatting sqref="A2:W32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277F-C878-4AC1-86B4-7996C5788967}">
  <dimension ref="A1:AO24"/>
  <sheetViews>
    <sheetView tabSelected="1" view="pageLayout" topLeftCell="I5" zoomScaleNormal="100" workbookViewId="0">
      <selection activeCell="A9" sqref="A9"/>
    </sheetView>
  </sheetViews>
  <sheetFormatPr defaultRowHeight="15" x14ac:dyDescent="0.25"/>
  <cols>
    <col min="1" max="1" width="18.85546875" customWidth="1"/>
    <col min="2" max="2" width="26" customWidth="1"/>
    <col min="3" max="3" width="13.140625" style="17" customWidth="1"/>
    <col min="4" max="4" width="14.28515625" style="7" customWidth="1"/>
    <col min="5" max="5" width="5.5703125" customWidth="1"/>
    <col min="6" max="6" width="16.7109375" customWidth="1"/>
    <col min="7" max="7" width="12.7109375" style="7" customWidth="1"/>
    <col min="8" max="8" width="13.42578125" style="7" customWidth="1"/>
    <col min="9" max="9" width="14.5703125" style="12" customWidth="1"/>
    <col min="10" max="10" width="17.7109375" style="7" customWidth="1"/>
    <col min="11" max="11" width="15.7109375" style="7" customWidth="1"/>
    <col min="12" max="12" width="16.85546875" style="7" customWidth="1"/>
    <col min="13" max="13" width="12.7109375" style="22" customWidth="1"/>
    <col min="14" max="14" width="10.7109375" style="26" customWidth="1"/>
    <col min="15" max="15" width="12.7109375" style="31" customWidth="1"/>
    <col min="16" max="16" width="12.5703125" style="31" customWidth="1"/>
    <col min="17" max="17" width="12" style="7" customWidth="1"/>
    <col min="18" max="18" width="17.7109375" style="7" customWidth="1"/>
    <col min="19" max="19" width="13.140625" style="36" customWidth="1"/>
    <col min="20" max="20" width="11.7109375" style="31" customWidth="1"/>
    <col min="21" max="21" width="25.42578125" customWidth="1"/>
    <col min="22" max="22" width="15.7109375" customWidth="1"/>
  </cols>
  <sheetData>
    <row r="1" spans="1:41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t="s">
        <v>33</v>
      </c>
      <c r="B2" t="s">
        <v>34</v>
      </c>
      <c r="C2" s="17">
        <v>44743</v>
      </c>
      <c r="D2" s="7">
        <v>199000</v>
      </c>
      <c r="E2" t="s">
        <v>25</v>
      </c>
      <c r="F2" t="s">
        <v>26</v>
      </c>
      <c r="G2" s="7">
        <v>199000</v>
      </c>
      <c r="H2" s="7">
        <v>88500</v>
      </c>
      <c r="I2" s="12">
        <f>H2/G2*100</f>
        <v>44.472361809045225</v>
      </c>
      <c r="J2" s="7">
        <v>177095</v>
      </c>
      <c r="K2" s="7">
        <f>G2-163095</f>
        <v>35905</v>
      </c>
      <c r="L2" s="7">
        <v>14000</v>
      </c>
      <c r="M2" s="22">
        <v>175.81</v>
      </c>
      <c r="N2" s="26">
        <v>242.199997</v>
      </c>
      <c r="O2" s="31">
        <v>1</v>
      </c>
      <c r="P2" s="31">
        <v>1</v>
      </c>
      <c r="Q2" s="7">
        <f>K2/M2</f>
        <v>204.22615323360446</v>
      </c>
      <c r="R2" s="7">
        <f>K2/O2</f>
        <v>35905</v>
      </c>
      <c r="S2" s="36">
        <f>K2/O2/43560</f>
        <v>0.82426538108356295</v>
      </c>
      <c r="T2" s="31">
        <v>175.81</v>
      </c>
      <c r="V2" t="s">
        <v>27</v>
      </c>
    </row>
    <row r="3" spans="1:41" ht="15.75" thickBot="1" x14ac:dyDescent="0.3">
      <c r="A3" t="s">
        <v>83</v>
      </c>
      <c r="B3" t="s">
        <v>84</v>
      </c>
      <c r="C3" s="17">
        <v>45975</v>
      </c>
      <c r="D3" s="7">
        <v>155000</v>
      </c>
      <c r="E3" t="s">
        <v>25</v>
      </c>
      <c r="F3" t="s">
        <v>26</v>
      </c>
      <c r="G3" s="7">
        <v>155000</v>
      </c>
      <c r="H3" s="7">
        <v>76800</v>
      </c>
      <c r="I3" s="12">
        <f>H3/G3*100</f>
        <v>49.548387096774192</v>
      </c>
      <c r="J3" s="7">
        <v>153656</v>
      </c>
      <c r="K3" s="7">
        <f>G3-132956</f>
        <v>22044</v>
      </c>
      <c r="L3" s="7">
        <v>20700</v>
      </c>
      <c r="M3" s="22">
        <v>230</v>
      </c>
      <c r="N3" s="26">
        <v>194</v>
      </c>
      <c r="O3" s="31">
        <v>1.024</v>
      </c>
      <c r="P3" s="31">
        <v>1.024</v>
      </c>
      <c r="Q3" s="7">
        <f>K3/M3</f>
        <v>95.84347826086956</v>
      </c>
      <c r="R3" s="7">
        <f>K3/O3</f>
        <v>21527.34375</v>
      </c>
      <c r="S3" s="36">
        <f>K3/O3/43560</f>
        <v>0.49419981060606061</v>
      </c>
      <c r="T3" s="31">
        <v>230</v>
      </c>
      <c r="V3" t="s">
        <v>27</v>
      </c>
    </row>
    <row r="4" spans="1:41" ht="15.75" thickTop="1" x14ac:dyDescent="0.25">
      <c r="A4" s="3"/>
      <c r="B4" s="3"/>
      <c r="C4" s="18" t="s">
        <v>85</v>
      </c>
      <c r="D4" s="8">
        <f>+SUM(D2:D3)</f>
        <v>354000</v>
      </c>
      <c r="E4" s="3"/>
      <c r="F4" s="3"/>
      <c r="G4" s="8">
        <f>+SUM(G2:G3)</f>
        <v>354000</v>
      </c>
      <c r="H4" s="8">
        <f>+SUM(H2:H3)</f>
        <v>165300</v>
      </c>
      <c r="I4" s="13"/>
      <c r="J4" s="8">
        <f>+SUM(J2:J3)</f>
        <v>330751</v>
      </c>
      <c r="K4" s="8">
        <f>+SUM(K2:K3)</f>
        <v>57949</v>
      </c>
      <c r="L4" s="8">
        <f>+SUM(L2:L3)</f>
        <v>34700</v>
      </c>
      <c r="M4" s="23">
        <f>+SUM(M2:M3)</f>
        <v>405.81</v>
      </c>
      <c r="N4" s="27"/>
      <c r="O4" s="32">
        <f>+SUM(O2:O3)</f>
        <v>2.024</v>
      </c>
      <c r="P4" s="32">
        <f>+SUM(P2:P3)</f>
        <v>2.024</v>
      </c>
      <c r="Q4" s="8"/>
      <c r="R4" s="8"/>
      <c r="S4" s="37"/>
      <c r="T4" s="32"/>
      <c r="U4" s="3"/>
      <c r="V4" s="3"/>
    </row>
    <row r="5" spans="1:41" x14ac:dyDescent="0.25">
      <c r="A5" s="4"/>
      <c r="B5" s="4"/>
      <c r="C5" s="19"/>
      <c r="D5" s="9"/>
      <c r="E5" s="4"/>
      <c r="F5" s="4"/>
      <c r="G5" s="9"/>
      <c r="H5" s="9" t="s">
        <v>86</v>
      </c>
      <c r="I5" s="14">
        <f>H4/G4*100</f>
        <v>46.694915254237287</v>
      </c>
      <c r="J5" s="9"/>
      <c r="K5" s="9"/>
      <c r="L5" s="9" t="s">
        <v>87</v>
      </c>
      <c r="M5" s="24"/>
      <c r="N5" s="28"/>
      <c r="O5" s="33" t="s">
        <v>87</v>
      </c>
      <c r="P5" s="33"/>
      <c r="Q5" s="9"/>
      <c r="R5" s="9" t="s">
        <v>87</v>
      </c>
      <c r="S5" s="38"/>
      <c r="T5" s="33"/>
      <c r="U5" s="4"/>
      <c r="V5" s="4"/>
    </row>
    <row r="6" spans="1:41" x14ac:dyDescent="0.25">
      <c r="A6" s="5"/>
      <c r="B6" s="5"/>
      <c r="C6" s="20"/>
      <c r="D6" s="10"/>
      <c r="E6" s="5"/>
      <c r="F6" s="5"/>
      <c r="G6" s="10"/>
      <c r="H6" s="10" t="s">
        <v>88</v>
      </c>
      <c r="I6" s="15">
        <f>STDEV(I2:I3)</f>
        <v>3.5892919024275489</v>
      </c>
      <c r="J6" s="10"/>
      <c r="K6" s="10"/>
      <c r="L6" s="10" t="s">
        <v>89</v>
      </c>
      <c r="M6" s="40">
        <f>K4/M4</f>
        <v>142.79835390946502</v>
      </c>
      <c r="N6" s="29"/>
      <c r="O6" s="34" t="s">
        <v>90</v>
      </c>
      <c r="P6" s="34">
        <f>K4/O4</f>
        <v>28630.92885375494</v>
      </c>
      <c r="Q6" s="10"/>
      <c r="R6" s="10" t="s">
        <v>91</v>
      </c>
      <c r="S6" s="39">
        <f>K4/O4/43560</f>
        <v>0.65727568534790959</v>
      </c>
      <c r="T6" s="34"/>
      <c r="U6" s="5"/>
      <c r="V6" s="5"/>
    </row>
    <row r="9" spans="1:41" x14ac:dyDescent="0.25">
      <c r="P9" s="41" t="s">
        <v>94</v>
      </c>
      <c r="R9" s="7" t="s">
        <v>101</v>
      </c>
    </row>
    <row r="11" spans="1:41" x14ac:dyDescent="0.25">
      <c r="A11" t="s">
        <v>100</v>
      </c>
    </row>
    <row r="12" spans="1:41" x14ac:dyDescent="0.25">
      <c r="A12" s="1" t="s">
        <v>0</v>
      </c>
      <c r="B12" s="1" t="s">
        <v>1</v>
      </c>
      <c r="C12" s="16" t="s">
        <v>2</v>
      </c>
      <c r="D12" s="6" t="s">
        <v>3</v>
      </c>
      <c r="E12" s="1" t="s">
        <v>4</v>
      </c>
      <c r="F12" s="1" t="s">
        <v>5</v>
      </c>
      <c r="G12" s="6" t="s">
        <v>6</v>
      </c>
      <c r="H12" s="6" t="s">
        <v>93</v>
      </c>
      <c r="I12" s="11" t="s">
        <v>8</v>
      </c>
      <c r="J12" s="6" t="s">
        <v>9</v>
      </c>
      <c r="K12" s="6" t="s">
        <v>10</v>
      </c>
      <c r="L12" s="6" t="s">
        <v>11</v>
      </c>
      <c r="M12" s="21" t="s">
        <v>12</v>
      </c>
      <c r="N12" s="25" t="s">
        <v>13</v>
      </c>
      <c r="O12" s="30" t="s">
        <v>14</v>
      </c>
      <c r="P12" s="30" t="s">
        <v>15</v>
      </c>
      <c r="Q12" s="6" t="s">
        <v>16</v>
      </c>
      <c r="R12" s="6" t="s">
        <v>17</v>
      </c>
      <c r="S12" s="35" t="s">
        <v>18</v>
      </c>
      <c r="T12" s="30" t="s">
        <v>19</v>
      </c>
      <c r="U12" s="1" t="s">
        <v>20</v>
      </c>
      <c r="V12" s="1" t="s">
        <v>21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1" x14ac:dyDescent="0.25">
      <c r="A13" t="s">
        <v>95</v>
      </c>
      <c r="B13" t="s">
        <v>96</v>
      </c>
      <c r="C13" s="17">
        <v>45180</v>
      </c>
      <c r="D13" s="7">
        <v>130000</v>
      </c>
      <c r="E13" t="s">
        <v>25</v>
      </c>
      <c r="F13" t="s">
        <v>26</v>
      </c>
      <c r="G13" s="7">
        <v>130000</v>
      </c>
      <c r="H13" s="7">
        <v>35400</v>
      </c>
      <c r="I13" s="12">
        <f>H13/G13*100</f>
        <v>27.23076923076923</v>
      </c>
      <c r="J13" s="7">
        <v>114886</v>
      </c>
      <c r="K13" s="7">
        <f>G13-72886</f>
        <v>57114</v>
      </c>
      <c r="L13" s="7">
        <v>42000</v>
      </c>
      <c r="M13" s="22">
        <v>0</v>
      </c>
      <c r="N13" s="26">
        <v>0</v>
      </c>
      <c r="O13" s="31">
        <v>2.2999999999999998</v>
      </c>
      <c r="P13" s="31">
        <v>2.2999999999999998</v>
      </c>
      <c r="Q13" s="7" t="e">
        <f>K13/M13</f>
        <v>#DIV/0!</v>
      </c>
      <c r="R13" s="7">
        <f>K13/O13</f>
        <v>24832.17391304348</v>
      </c>
      <c r="S13" s="36">
        <f>K13/O13/43560</f>
        <v>0.57006827164929941</v>
      </c>
      <c r="T13" s="31">
        <v>0</v>
      </c>
      <c r="V13" t="s">
        <v>97</v>
      </c>
    </row>
    <row r="14" spans="1:41" x14ac:dyDescent="0.25">
      <c r="A14" t="s">
        <v>98</v>
      </c>
      <c r="B14" t="s">
        <v>99</v>
      </c>
      <c r="C14" s="17">
        <v>45267</v>
      </c>
      <c r="D14" s="7">
        <v>245000</v>
      </c>
      <c r="E14" t="s">
        <v>25</v>
      </c>
      <c r="F14" t="s">
        <v>26</v>
      </c>
      <c r="G14" s="7">
        <v>245000</v>
      </c>
      <c r="H14" s="7">
        <v>83600</v>
      </c>
      <c r="I14" s="12">
        <f>H14/G14*100</f>
        <v>34.122448979591837</v>
      </c>
      <c r="J14" s="7">
        <v>223274</v>
      </c>
      <c r="K14" s="7">
        <f>G14-189154</f>
        <v>55846</v>
      </c>
      <c r="L14" s="7">
        <v>34120</v>
      </c>
      <c r="M14" s="22">
        <v>0</v>
      </c>
      <c r="N14" s="26">
        <v>0</v>
      </c>
      <c r="O14" s="31">
        <v>2.56</v>
      </c>
      <c r="P14" s="31">
        <v>2.56</v>
      </c>
      <c r="Q14" s="7" t="e">
        <f>K14/M14</f>
        <v>#DIV/0!</v>
      </c>
      <c r="R14" s="7">
        <f>K14/O14</f>
        <v>21814.84375</v>
      </c>
      <c r="S14" s="36">
        <f>K14/O14/43560</f>
        <v>0.5007999024334252</v>
      </c>
      <c r="T14" s="31">
        <v>0</v>
      </c>
      <c r="V14" t="s">
        <v>97</v>
      </c>
    </row>
    <row r="15" spans="1:41" x14ac:dyDescent="0.25">
      <c r="A15" t="s">
        <v>98</v>
      </c>
      <c r="B15" t="s">
        <v>99</v>
      </c>
      <c r="C15" s="17">
        <v>45693</v>
      </c>
      <c r="D15" s="7">
        <v>255000</v>
      </c>
      <c r="E15" t="s">
        <v>25</v>
      </c>
      <c r="F15" t="s">
        <v>26</v>
      </c>
      <c r="G15" s="7">
        <v>255000</v>
      </c>
      <c r="H15" s="7">
        <v>119500</v>
      </c>
      <c r="I15" s="12">
        <f>H15/G15*100</f>
        <v>46.862745098039213</v>
      </c>
      <c r="J15" s="7">
        <v>223274</v>
      </c>
      <c r="K15" s="7">
        <f>G15-189154</f>
        <v>65846</v>
      </c>
      <c r="L15" s="7">
        <v>34120</v>
      </c>
      <c r="M15" s="22">
        <v>0</v>
      </c>
      <c r="N15" s="26">
        <v>0</v>
      </c>
      <c r="O15" s="31">
        <v>2.56</v>
      </c>
      <c r="P15" s="31">
        <v>2.56</v>
      </c>
      <c r="Q15" s="7" t="e">
        <f>K15/M15</f>
        <v>#DIV/0!</v>
      </c>
      <c r="R15" s="7">
        <f>K15/O15</f>
        <v>25721.09375</v>
      </c>
      <c r="S15" s="36">
        <f>K15/O15/43560</f>
        <v>0.59047506313131315</v>
      </c>
      <c r="T15" s="31">
        <v>0</v>
      </c>
      <c r="V15" t="s">
        <v>97</v>
      </c>
    </row>
    <row r="16" spans="1:41" ht="15.75" thickBot="1" x14ac:dyDescent="0.3"/>
    <row r="17" spans="1:22" ht="15.75" thickTop="1" x14ac:dyDescent="0.25">
      <c r="A17" s="3"/>
      <c r="B17" s="3"/>
      <c r="C17" s="18" t="s">
        <v>85</v>
      </c>
      <c r="D17" s="8">
        <f>+SUM(D13:D16)</f>
        <v>630000</v>
      </c>
      <c r="E17" s="3"/>
      <c r="F17" s="3"/>
      <c r="G17" s="8">
        <f>+SUM(G13:G16)</f>
        <v>630000</v>
      </c>
      <c r="H17" s="8">
        <f>+SUM(H13:H16)</f>
        <v>238500</v>
      </c>
      <c r="I17" s="13"/>
      <c r="J17" s="8">
        <f>+SUM(J13:J16)</f>
        <v>561434</v>
      </c>
      <c r="K17" s="8">
        <f>+SUM(K13:K16)</f>
        <v>178806</v>
      </c>
      <c r="L17" s="8">
        <f>+SUM(L13:L16)</f>
        <v>110240</v>
      </c>
      <c r="M17" s="23">
        <f>+SUM(M13:M16)</f>
        <v>0</v>
      </c>
      <c r="N17" s="27"/>
      <c r="O17" s="32">
        <f>+SUM(O13:O16)</f>
        <v>7.42</v>
      </c>
      <c r="P17" s="32">
        <f>+SUM(P13:P16)</f>
        <v>7.42</v>
      </c>
      <c r="Q17" s="8"/>
      <c r="R17" s="8"/>
      <c r="S17" s="37"/>
      <c r="T17" s="32"/>
      <c r="U17" s="3"/>
      <c r="V17" s="3"/>
    </row>
    <row r="18" spans="1:22" x14ac:dyDescent="0.25">
      <c r="A18" s="4"/>
      <c r="B18" s="4"/>
      <c r="C18" s="19"/>
      <c r="D18" s="9"/>
      <c r="E18" s="4"/>
      <c r="F18" s="4"/>
      <c r="G18" s="9"/>
      <c r="H18" s="9" t="s">
        <v>86</v>
      </c>
      <c r="I18" s="14">
        <f>H17/G17*100</f>
        <v>37.857142857142854</v>
      </c>
      <c r="J18" s="9"/>
      <c r="K18" s="9"/>
      <c r="L18" s="9" t="s">
        <v>87</v>
      </c>
      <c r="M18" s="24"/>
      <c r="N18" s="28"/>
      <c r="O18" s="33" t="s">
        <v>87</v>
      </c>
      <c r="P18" s="33"/>
      <c r="Q18" s="9"/>
      <c r="R18" s="9" t="s">
        <v>87</v>
      </c>
      <c r="S18" s="38"/>
      <c r="T18" s="33"/>
      <c r="U18" s="4"/>
      <c r="V18" s="4"/>
    </row>
    <row r="19" spans="1:22" x14ac:dyDescent="0.25">
      <c r="A19" s="5"/>
      <c r="B19" s="5"/>
      <c r="C19" s="20"/>
      <c r="D19" s="10"/>
      <c r="E19" s="5"/>
      <c r="F19" s="5"/>
      <c r="G19" s="10"/>
      <c r="H19" s="10" t="s">
        <v>88</v>
      </c>
      <c r="I19" s="15">
        <f>STDEV(I13:I16)</f>
        <v>9.960127771930841</v>
      </c>
      <c r="J19" s="10"/>
      <c r="K19" s="10"/>
      <c r="L19" s="10" t="s">
        <v>89</v>
      </c>
      <c r="M19" s="40" t="e">
        <f>K17/M17</f>
        <v>#DIV/0!</v>
      </c>
      <c r="N19" s="29"/>
      <c r="O19" s="34" t="s">
        <v>90</v>
      </c>
      <c r="P19" s="34">
        <f>K17/O17</f>
        <v>24097.843665768196</v>
      </c>
      <c r="Q19" s="10"/>
      <c r="R19" s="10" t="s">
        <v>91</v>
      </c>
      <c r="S19" s="39">
        <f>K17/O17/43560</f>
        <v>0.5532103688192882</v>
      </c>
      <c r="T19" s="34"/>
      <c r="U19" s="5"/>
      <c r="V19" s="5"/>
    </row>
    <row r="23" spans="1:22" x14ac:dyDescent="0.25">
      <c r="A23" s="42" t="s">
        <v>92</v>
      </c>
    </row>
    <row r="24" spans="1:22" x14ac:dyDescent="0.25">
      <c r="A24" t="s">
        <v>29</v>
      </c>
      <c r="B24" t="s">
        <v>30</v>
      </c>
      <c r="C24" s="17">
        <v>45002</v>
      </c>
      <c r="D24" s="7">
        <v>141000</v>
      </c>
      <c r="E24" t="s">
        <v>25</v>
      </c>
      <c r="F24" t="s">
        <v>26</v>
      </c>
      <c r="G24" s="7">
        <v>141000</v>
      </c>
      <c r="H24" s="7">
        <v>74400</v>
      </c>
      <c r="I24" s="12">
        <f>H24/G24*100</f>
        <v>52.765957446808507</v>
      </c>
      <c r="J24" s="7">
        <v>148756</v>
      </c>
      <c r="K24" s="7">
        <f>G24-126756</f>
        <v>14244</v>
      </c>
      <c r="L24" s="7">
        <v>22000</v>
      </c>
      <c r="M24" s="22">
        <v>210</v>
      </c>
      <c r="N24" s="26">
        <v>415</v>
      </c>
      <c r="O24" s="31">
        <v>2</v>
      </c>
      <c r="P24" s="31">
        <v>2</v>
      </c>
      <c r="Q24" s="7">
        <f>K24/M24</f>
        <v>67.828571428571422</v>
      </c>
      <c r="R24" s="7">
        <f>K24/O24</f>
        <v>7122</v>
      </c>
      <c r="S24" s="36">
        <f>K24/O24/43560</f>
        <v>0.16349862258953168</v>
      </c>
      <c r="T24" s="31">
        <v>210</v>
      </c>
      <c r="V24" t="s">
        <v>27</v>
      </c>
    </row>
  </sheetData>
  <conditionalFormatting sqref="A2:V3 A10:V10 A24:V25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3:V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&amp;LResidential
1 acre&amp;CGladwin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1 acre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2026-02-04T15:20:20Z</cp:lastPrinted>
  <dcterms:created xsi:type="dcterms:W3CDTF">2026-01-12T18:04:41Z</dcterms:created>
  <dcterms:modified xsi:type="dcterms:W3CDTF">2026-02-20T15:44:05Z</dcterms:modified>
</cp:coreProperties>
</file>